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/>
  <mc:AlternateContent xmlns:mc="http://schemas.openxmlformats.org/markup-compatibility/2006">
    <mc:Choice Requires="x15">
      <x15ac:absPath xmlns:x15ac="http://schemas.microsoft.com/office/spreadsheetml/2010/11/ac" url="https://oxfordnanolabs-my.sharepoint.com/personal/melissa_kaspar_nanoporetech_com/Documents/Documents/01_Work/03_Tecan_DreamPrep/05_NBD/"/>
    </mc:Choice>
  </mc:AlternateContent>
  <xr:revisionPtr revIDLastSave="0" documentId="8_{3B77E483-E1B7-4751-A9A2-3428B31F06C4}" xr6:coauthVersionLast="47" xr6:coauthVersionMax="47" xr10:uidLastSave="{00000000-0000-0000-0000-000000000000}"/>
  <bookViews>
    <workbookView xWindow="-25905" yWindow="-4935" windowWidth="26010" windowHeight="20985" xr2:uid="{DE671B1B-9792-4792-AA64-0354181BBBEE}"/>
  </bookViews>
  <sheets>
    <sheet name="LoadingGuide" sheetId="1" r:id="rId1"/>
    <sheet name="Lis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21" i="1"/>
  <c r="E67" i="1"/>
  <c r="F67" i="1" s="1"/>
  <c r="E64" i="1"/>
  <c r="F64" i="1" s="1"/>
  <c r="E51" i="1"/>
  <c r="G45" i="1"/>
  <c r="G42" i="1"/>
  <c r="E42" i="1" s="1"/>
  <c r="D64" i="1"/>
  <c r="E54" i="1"/>
  <c r="F54" i="1" s="1"/>
  <c r="D51" i="1"/>
  <c r="D57" i="1"/>
  <c r="E57" i="1" s="1"/>
  <c r="D48" i="1"/>
  <c r="G39" i="1"/>
  <c r="E39" i="1" s="1"/>
  <c r="D36" i="1"/>
  <c r="G31" i="1"/>
  <c r="E35" i="1" s="1"/>
  <c r="D13" i="1"/>
  <c r="E13" i="1" s="1"/>
  <c r="D12" i="1"/>
  <c r="E12" i="1" s="1"/>
  <c r="E16" i="1"/>
  <c r="E11" i="1"/>
  <c r="D15" i="1"/>
  <c r="E70" i="1" l="1"/>
  <c r="D19" i="1" s="1"/>
  <c r="D25" i="1"/>
  <c r="G47" i="1"/>
  <c r="E46" i="1" s="1"/>
  <c r="D18" i="1"/>
  <c r="E15" i="1"/>
  <c r="E32" i="1"/>
  <c r="E34" i="1"/>
  <c r="E33" i="1"/>
  <c r="E47" i="1" l="1"/>
  <c r="E45" i="1"/>
  <c r="E36" i="1"/>
  <c r="E4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</futureMetadata>
  <valueMetadata count="1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</valueMetadata>
</metadata>
</file>

<file path=xl/sharedStrings.xml><?xml version="1.0" encoding="utf-8"?>
<sst xmlns="http://schemas.openxmlformats.org/spreadsheetml/2006/main" count="73" uniqueCount="63">
  <si>
    <t>Batchsize / Number of Samples</t>
  </si>
  <si>
    <t>&lt;- please enter your sample number</t>
  </si>
  <si>
    <t>Number of Pools</t>
  </si>
  <si>
    <t>&lt;- please enter the number of pools to create</t>
  </si>
  <si>
    <t>Elute in PCR plate or empty wells of DWP</t>
  </si>
  <si>
    <t>DWP</t>
  </si>
  <si>
    <t>Pooling volume per sample [ul]</t>
  </si>
  <si>
    <t>Sequencing platform</t>
  </si>
  <si>
    <t>MinION</t>
  </si>
  <si>
    <t>Consumables</t>
  </si>
  <si>
    <t>Prepare:</t>
  </si>
  <si>
    <t>Total tips</t>
  </si>
  <si>
    <t>Tip boxes</t>
  </si>
  <si>
    <t>FCA 50</t>
  </si>
  <si>
    <t>FCA 200</t>
  </si>
  <si>
    <t>FCA 1000</t>
  </si>
  <si>
    <t>MCA 50</t>
  </si>
  <si>
    <t>MCA 150</t>
  </si>
  <si>
    <t>100ml trough</t>
  </si>
  <si>
    <t>25ml trough</t>
  </si>
  <si>
    <t>BioRad Hardshell PCR Plates
(including sample input plate;
excluding barcode plate - provided in kit)</t>
  </si>
  <si>
    <t>0.8 Abgene MIDI plates</t>
  </si>
  <si>
    <t>2ml DWP</t>
  </si>
  <si>
    <t>2.0ml Sarstedt tubes</t>
  </si>
  <si>
    <t>BioRad Arched Auto-Sealing Lid</t>
  </si>
  <si>
    <t>Reagents</t>
  </si>
  <si>
    <t>POGO tubes</t>
  </si>
  <si>
    <t>Fill each into a clean 2.0ml Sarstedt Tube</t>
  </si>
  <si>
    <t>Positions on POGO</t>
  </si>
  <si>
    <t>Volume per sample or pool</t>
  </si>
  <si>
    <t>Total volume incl. DV [ul]</t>
  </si>
  <si>
    <t>Dead volume DV
/Flat increase</t>
  </si>
  <si>
    <t>DNA End Prep Mastermix (EP)</t>
  </si>
  <si>
    <t>NEBNext FFPE DNA Repair Buffer</t>
  </si>
  <si>
    <t>Ultra II End-Prep Reaction Buffer</t>
  </si>
  <si>
    <t>Ultra II End-Prep Enzyme Mix</t>
  </si>
  <si>
    <t>NEBNext FFPE DNA Repair Mix</t>
  </si>
  <si>
    <t>Sum</t>
  </si>
  <si>
    <t>Blunt/TA Ligase MasterMix (BTA)</t>
  </si>
  <si>
    <t>Blunt/TA Ligase MasterMix</t>
  </si>
  <si>
    <t>EDTA (EDTA)</t>
  </si>
  <si>
    <t>EDTA</t>
  </si>
  <si>
    <t>Adapter Ligation Mix (AL)</t>
  </si>
  <si>
    <t>NEBNext Quick Ligation Reaction Buffer 5x</t>
  </si>
  <si>
    <t>NEBNext Quick T4 DNA Ligase</t>
  </si>
  <si>
    <t>Native Adapter (NA)</t>
  </si>
  <si>
    <t>RT 5x tube holder</t>
  </si>
  <si>
    <t>Magnetic beads</t>
  </si>
  <si>
    <t xml:space="preserve">AMPure Beads </t>
  </si>
  <si>
    <t>Long or Short Fragment Buffer (LFB/SFB)</t>
  </si>
  <si>
    <t>LFB/SFB</t>
  </si>
  <si>
    <t>Elution Buffer</t>
  </si>
  <si>
    <t>Troughs</t>
  </si>
  <si>
    <t>Fill each into a 100ml or 25ml trough reservoir</t>
  </si>
  <si>
    <t>Ethanol 80%</t>
  </si>
  <si>
    <t>EtOH</t>
  </si>
  <si>
    <t>Nuclease Free Water</t>
  </si>
  <si>
    <t>NFW</t>
  </si>
  <si>
    <t>Barcode plate</t>
  </si>
  <si>
    <t>96-well PCR plate containing barcodes (provided in kit)</t>
  </si>
  <si>
    <t>ElutionLocation</t>
  </si>
  <si>
    <t>PCR</t>
  </si>
  <si>
    <t>PromethION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</si>
</sst>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 style="mediumDashed">
        <color rgb="FFFF0000"/>
      </left>
      <right style="mediumDashed">
        <color rgb="FFFF0000"/>
      </right>
      <top/>
      <bottom style="mediumDashed">
        <color rgb="FFFF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1" fillId="0" borderId="0" xfId="0" applyFont="1" applyAlignment="1">
      <alignment wrapText="1"/>
    </xf>
    <xf numFmtId="0" fontId="3" fillId="0" borderId="7" xfId="0" applyFont="1" applyBorder="1" applyAlignment="1">
      <alignment wrapText="1"/>
    </xf>
    <xf numFmtId="0" fontId="0" fillId="3" borderId="6" xfId="0" applyFill="1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1" fillId="0" borderId="9" xfId="0" applyFont="1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wrapText="1"/>
    </xf>
    <xf numFmtId="0" fontId="4" fillId="0" borderId="6" xfId="0" applyFont="1" applyBorder="1"/>
    <xf numFmtId="0" fontId="4" fillId="0" borderId="0" xfId="0" applyFont="1"/>
    <xf numFmtId="0" fontId="0" fillId="0" borderId="11" xfId="0" applyBorder="1"/>
    <xf numFmtId="0" fontId="0" fillId="0" borderId="12" xfId="0" applyBorder="1"/>
    <xf numFmtId="0" fontId="1" fillId="0" borderId="12" xfId="0" applyFont="1" applyBorder="1"/>
    <xf numFmtId="0" fontId="0" fillId="0" borderId="0" xfId="0" applyAlignment="1">
      <alignment horizontal="left"/>
    </xf>
    <xf numFmtId="0" fontId="0" fillId="2" borderId="6" xfId="0" applyFill="1" applyBorder="1" applyAlignment="1">
      <alignment horizontal="center"/>
    </xf>
    <xf numFmtId="0" fontId="0" fillId="0" borderId="8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1" fillId="0" borderId="5" xfId="0" applyFont="1" applyBorder="1" applyAlignment="1">
      <alignment vertical="top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1" xfId="0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/>
    <xf numFmtId="0" fontId="0" fillId="0" borderId="19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1" fillId="0" borderId="18" xfId="0" applyFont="1" applyBorder="1" applyAlignment="1">
      <alignment horizontal="right" vertical="top"/>
    </xf>
    <xf numFmtId="0" fontId="0" fillId="0" borderId="5" xfId="0" applyBorder="1" applyAlignment="1">
      <alignment horizontal="center" vertical="top" wrapText="1"/>
    </xf>
    <xf numFmtId="0" fontId="5" fillId="0" borderId="7" xfId="0" applyFont="1" applyBorder="1"/>
  </cellXfs>
  <cellStyles count="1">
    <cellStyle name="Normal" xfId="0" builtinId="0"/>
  </cellStyles>
  <dxfs count="2"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D5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606425</xdr:colOff>
      <xdr:row>29</xdr:row>
      <xdr:rowOff>73025</xdr:rowOff>
    </xdr:from>
    <xdr:to>
      <xdr:col>16</xdr:col>
      <xdr:colOff>311789</xdr:colOff>
      <xdr:row>44</xdr:row>
      <xdr:rowOff>143314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5A6675-0647-5D66-CFE3-07BA4835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0" y="13760450"/>
          <a:ext cx="4582164" cy="3143689"/>
        </a:xfrm>
        <a:prstGeom prst="rect">
          <a:avLst/>
        </a:prstGeom>
      </xdr:spPr>
    </xdr:pic>
    <xdr:clientData/>
  </xdr:twoCellAnchor>
  <xdr:twoCellAnchor>
    <xdr:from>
      <xdr:col>8</xdr:col>
      <xdr:colOff>606426</xdr:colOff>
      <xdr:row>58</xdr:row>
      <xdr:rowOff>95248</xdr:rowOff>
    </xdr:from>
    <xdr:to>
      <xdr:col>14</xdr:col>
      <xdr:colOff>171450</xdr:colOff>
      <xdr:row>70</xdr:row>
      <xdr:rowOff>114297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D90DC838-F9C6-6F5B-1C38-497903499485}"/>
            </a:ext>
          </a:extLst>
        </xdr:cNvPr>
        <xdr:cNvGrpSpPr/>
      </xdr:nvGrpSpPr>
      <xdr:grpSpPr>
        <a:xfrm>
          <a:off x="8321676" y="20354923"/>
          <a:ext cx="3222624" cy="2390774"/>
          <a:chOff x="8305801" y="20345184"/>
          <a:chExt cx="3219762" cy="2392494"/>
        </a:xfrm>
      </xdr:grpSpPr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487BE90E-DD07-EA38-4B8D-F668F48743BA}"/>
              </a:ext>
            </a:extLst>
          </xdr:cNvPr>
          <xdr:cNvGrpSpPr/>
        </xdr:nvGrpSpPr>
        <xdr:grpSpPr>
          <a:xfrm>
            <a:off x="8305801" y="20449875"/>
            <a:ext cx="1695261" cy="2287803"/>
            <a:chOff x="9105901" y="19564221"/>
            <a:chExt cx="1695261" cy="2290373"/>
          </a:xfrm>
        </xdr:grpSpPr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1C13BAAA-319B-0672-FD4B-E8F70C447BF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105901" y="19564221"/>
              <a:ext cx="1695261" cy="2290373"/>
            </a:xfrm>
            <a:prstGeom prst="rect">
              <a:avLst/>
            </a:prstGeom>
          </xdr:spPr>
        </xdr:pic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A9C07CFF-BD13-4A67-AF94-3143D7804EF6}"/>
                </a:ext>
              </a:extLst>
            </xdr:cNvPr>
            <xdr:cNvSpPr txBox="1"/>
          </xdr:nvSpPr>
          <xdr:spPr>
            <a:xfrm>
              <a:off x="9423398" y="19749302"/>
              <a:ext cx="511177" cy="272495"/>
            </a:xfrm>
            <a:prstGeom prst="borderCallout2">
              <a:avLst>
                <a:gd name="adj1" fmla="val 50714"/>
                <a:gd name="adj2" fmla="val 99741"/>
                <a:gd name="adj3" fmla="val 56707"/>
                <a:gd name="adj4" fmla="val 143581"/>
                <a:gd name="adj5" fmla="val 118494"/>
                <a:gd name="adj6" fmla="val 145879"/>
              </a:avLst>
            </a:prstGeom>
            <a:solidFill>
              <a:schemeClr val="lt1"/>
            </a:solidFill>
            <a:ln w="19050" cmpd="sng">
              <a:solidFill>
                <a:schemeClr val="accent2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100" kern="1200"/>
                <a:t>EtOH</a:t>
              </a:r>
            </a:p>
          </xdr:txBody>
        </xdr:sp>
      </xdr:grpSp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BAFBFF30-BAAF-4ADD-93A7-CF23BD237CAF}"/>
              </a:ext>
            </a:extLst>
          </xdr:cNvPr>
          <xdr:cNvSpPr txBox="1"/>
        </xdr:nvSpPr>
        <xdr:spPr>
          <a:xfrm>
            <a:off x="8369546" y="20926487"/>
            <a:ext cx="508002" cy="278728"/>
          </a:xfrm>
          <a:prstGeom prst="borderCallout2">
            <a:avLst>
              <a:gd name="adj1" fmla="val 50714"/>
              <a:gd name="adj2" fmla="val 99741"/>
              <a:gd name="adj3" fmla="val 56707"/>
              <a:gd name="adj4" fmla="val 143581"/>
              <a:gd name="adj5" fmla="val 118494"/>
              <a:gd name="adj6" fmla="val 145879"/>
            </a:avLst>
          </a:prstGeom>
          <a:solidFill>
            <a:schemeClr val="lt1"/>
          </a:solidFill>
          <a:ln w="19050" cmpd="sng">
            <a:solidFill>
              <a:schemeClr val="accent2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kern="1200"/>
              <a:t>NFW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B96B14C3-CBB6-4C44-8FD3-B4A36615C997}"/>
              </a:ext>
            </a:extLst>
          </xdr:cNvPr>
          <xdr:cNvSpPr txBox="1"/>
        </xdr:nvSpPr>
        <xdr:spPr>
          <a:xfrm>
            <a:off x="10020613" y="20345184"/>
            <a:ext cx="1504950" cy="247650"/>
          </a:xfrm>
          <a:prstGeom prst="borderCallout2">
            <a:avLst>
              <a:gd name="adj1" fmla="val 50714"/>
              <a:gd name="adj2" fmla="val 161"/>
              <a:gd name="adj3" fmla="val 69207"/>
              <a:gd name="adj4" fmla="val -18184"/>
              <a:gd name="adj5" fmla="val 138494"/>
              <a:gd name="adj6" fmla="val -18407"/>
            </a:avLst>
          </a:prstGeom>
          <a:solidFill>
            <a:schemeClr val="lt1"/>
          </a:solidFill>
          <a:ln w="19050" cmpd="sng">
            <a:solidFill>
              <a:schemeClr val="accent2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LFB/SFB (conditional)</a:t>
            </a:r>
            <a:endParaRPr lang="en-GB">
              <a:effectLst/>
            </a:endParaRPr>
          </a:p>
        </xdr:txBody>
      </xdr:sp>
    </xdr:grpSp>
    <xdr:clientData/>
  </xdr:twoCellAnchor>
  <xdr:twoCellAnchor>
    <xdr:from>
      <xdr:col>9</xdr:col>
      <xdr:colOff>8488</xdr:colOff>
      <xdr:row>47</xdr:row>
      <xdr:rowOff>0</xdr:rowOff>
    </xdr:from>
    <xdr:to>
      <xdr:col>13</xdr:col>
      <xdr:colOff>352422</xdr:colOff>
      <xdr:row>57</xdr:row>
      <xdr:rowOff>67535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33CB2244-5608-ED86-D6CC-D0120F9ED312}"/>
            </a:ext>
          </a:extLst>
        </xdr:cNvPr>
        <xdr:cNvGrpSpPr/>
      </xdr:nvGrpSpPr>
      <xdr:grpSpPr>
        <a:xfrm>
          <a:off x="8333338" y="18259425"/>
          <a:ext cx="2782334" cy="1886810"/>
          <a:chOff x="8511061" y="18126075"/>
          <a:chExt cx="2785461" cy="1886810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D6912A97-8106-1B40-AF64-023FFE12DB7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0010" r="31719"/>
          <a:stretch/>
        </xdr:blipFill>
        <xdr:spPr>
          <a:xfrm>
            <a:off x="8511061" y="18430874"/>
            <a:ext cx="908949" cy="1582011"/>
          </a:xfrm>
          <a:prstGeom prst="rect">
            <a:avLst/>
          </a:prstGeom>
        </xdr:spPr>
      </xdr:pic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DBF227DC-6CB0-6D6A-95C5-94C3CC345F81}"/>
              </a:ext>
            </a:extLst>
          </xdr:cNvPr>
          <xdr:cNvSpPr txBox="1"/>
        </xdr:nvSpPr>
        <xdr:spPr>
          <a:xfrm>
            <a:off x="9975721" y="18126075"/>
            <a:ext cx="1320801" cy="273050"/>
          </a:xfrm>
          <a:prstGeom prst="borderCallout2">
            <a:avLst>
              <a:gd name="adj1" fmla="val 34480"/>
              <a:gd name="adj2" fmla="val 1639"/>
              <a:gd name="adj3" fmla="val 34480"/>
              <a:gd name="adj4" fmla="val -32179"/>
              <a:gd name="adj5" fmla="val 206882"/>
              <a:gd name="adj6" fmla="val -54350"/>
            </a:avLst>
          </a:prstGeom>
          <a:solidFill>
            <a:schemeClr val="lt1"/>
          </a:solidFill>
          <a:ln w="19050" cmpd="sng">
            <a:solidFill>
              <a:schemeClr val="accent2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kern="1200"/>
              <a:t>1. AMPure</a:t>
            </a:r>
            <a:r>
              <a:rPr lang="en-GB" sz="1100" kern="1200" baseline="0"/>
              <a:t> Beads</a:t>
            </a:r>
            <a:endParaRPr lang="en-GB" sz="1100" kern="1200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D5E8F342-0BBD-4E94-95F9-1C5800F09C3E}"/>
              </a:ext>
            </a:extLst>
          </xdr:cNvPr>
          <xdr:cNvSpPr txBox="1"/>
        </xdr:nvSpPr>
        <xdr:spPr>
          <a:xfrm>
            <a:off x="9709021" y="18335932"/>
            <a:ext cx="1587501" cy="282575"/>
          </a:xfrm>
          <a:prstGeom prst="borderCallout2">
            <a:avLst>
              <a:gd name="adj1" fmla="val 34480"/>
              <a:gd name="adj2" fmla="val 1639"/>
              <a:gd name="adj3" fmla="val 37851"/>
              <a:gd name="adj4" fmla="val -26799"/>
              <a:gd name="adj5" fmla="val 139467"/>
              <a:gd name="adj6" fmla="val -36029"/>
            </a:avLst>
          </a:prstGeom>
          <a:solidFill>
            <a:schemeClr val="lt1"/>
          </a:solidFill>
          <a:ln w="19050" cmpd="sng">
            <a:solidFill>
              <a:schemeClr val="accent2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2. LFB/SFB (conditional)</a:t>
            </a:r>
            <a:endParaRPr lang="en-GB">
              <a:effectLst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A9677C56-E023-4403-A467-F828B05F344F}"/>
              </a:ext>
            </a:extLst>
          </xdr:cNvPr>
          <xdr:cNvSpPr txBox="1"/>
        </xdr:nvSpPr>
        <xdr:spPr>
          <a:xfrm>
            <a:off x="9604246" y="18545175"/>
            <a:ext cx="1692276" cy="282575"/>
          </a:xfrm>
          <a:prstGeom prst="borderCallout2">
            <a:avLst>
              <a:gd name="adj1" fmla="val 34480"/>
              <a:gd name="adj2" fmla="val 1639"/>
              <a:gd name="adj3" fmla="val 34480"/>
              <a:gd name="adj4" fmla="val -31487"/>
              <a:gd name="adj5" fmla="val 83287"/>
              <a:gd name="adj6" fmla="val -35612"/>
            </a:avLst>
          </a:prstGeom>
          <a:solidFill>
            <a:schemeClr val="lt1"/>
          </a:solidFill>
          <a:ln w="19050" cmpd="sng">
            <a:solidFill>
              <a:schemeClr val="accent2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3. Elution Buffer</a:t>
            </a:r>
            <a:endParaRPr lang="en-GB">
              <a:effectLst/>
            </a:endParaRP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D0419421-C927-4F3E-8ACA-16ED4FE90359}"/>
              </a:ext>
            </a:extLst>
          </xdr:cNvPr>
          <xdr:cNvSpPr txBox="1"/>
        </xdr:nvSpPr>
        <xdr:spPr>
          <a:xfrm>
            <a:off x="9470895" y="18783578"/>
            <a:ext cx="1825626" cy="273050"/>
          </a:xfrm>
          <a:prstGeom prst="borderCallout2">
            <a:avLst>
              <a:gd name="adj1" fmla="val 65941"/>
              <a:gd name="adj2" fmla="val 243"/>
              <a:gd name="adj3" fmla="val 65941"/>
              <a:gd name="adj4" fmla="val -25903"/>
              <a:gd name="adj5" fmla="val 24860"/>
              <a:gd name="adj6" fmla="val -30725"/>
            </a:avLst>
          </a:prstGeom>
          <a:solidFill>
            <a:schemeClr val="lt1"/>
          </a:solidFill>
          <a:ln w="19050" cmpd="sng">
            <a:solidFill>
              <a:schemeClr val="accent2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4. Empty</a:t>
            </a:r>
            <a:r>
              <a: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tube</a:t>
            </a:r>
            <a:endParaRPr lang="en-GB">
              <a:effectLst/>
            </a:endParaRPr>
          </a:p>
        </xdr:txBody>
      </xdr:sp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069DD-536A-48E5-B1DB-2B050D672D67}">
  <dimension ref="A1:L73"/>
  <sheetViews>
    <sheetView tabSelected="1" zoomScale="85" zoomScaleNormal="85" workbookViewId="0">
      <selection activeCell="K5" sqref="K5"/>
    </sheetView>
  </sheetViews>
  <sheetFormatPr defaultRowHeight="14.45"/>
  <cols>
    <col min="1" max="1" width="11.7109375" customWidth="1"/>
    <col min="2" max="2" width="6.28515625" customWidth="1"/>
    <col min="3" max="3" width="38.140625" customWidth="1"/>
    <col min="4" max="4" width="13.85546875" customWidth="1"/>
    <col min="5" max="5" width="12.5703125" customWidth="1"/>
    <col min="6" max="6" width="16.28515625" customWidth="1"/>
    <col min="7" max="7" width="7.7109375" customWidth="1"/>
  </cols>
  <sheetData>
    <row r="1" spans="1:6" ht="15" thickBot="1"/>
    <row r="2" spans="1:6" ht="18.95" thickBot="1">
      <c r="C2" s="27" t="s">
        <v>0</v>
      </c>
      <c r="D2" s="35">
        <v>96</v>
      </c>
      <c r="E2" s="17" t="s">
        <v>1</v>
      </c>
    </row>
    <row r="3" spans="1:6" ht="18.95" thickBot="1">
      <c r="C3" s="34" t="s">
        <v>2</v>
      </c>
      <c r="D3" s="36">
        <v>16</v>
      </c>
      <c r="E3" s="17" t="s">
        <v>3</v>
      </c>
    </row>
    <row r="5" spans="1:6">
      <c r="C5" s="1" t="s">
        <v>4</v>
      </c>
      <c r="D5" t="s">
        <v>5</v>
      </c>
    </row>
    <row r="6" spans="1:6">
      <c r="C6" s="1" t="s">
        <v>6</v>
      </c>
      <c r="D6" s="21">
        <v>10</v>
      </c>
    </row>
    <row r="7" spans="1:6">
      <c r="C7" s="1" t="s">
        <v>7</v>
      </c>
      <c r="D7" t="s">
        <v>8</v>
      </c>
    </row>
    <row r="9" spans="1:6">
      <c r="A9" s="1" t="s">
        <v>9</v>
      </c>
    </row>
    <row r="10" spans="1:6">
      <c r="A10" t="s">
        <v>10</v>
      </c>
      <c r="D10" s="1" t="s">
        <v>11</v>
      </c>
      <c r="E10" s="1" t="s">
        <v>12</v>
      </c>
    </row>
    <row r="11" spans="1:6" ht="75" customHeight="1">
      <c r="C11" s="28" t="s">
        <v>13</v>
      </c>
      <c r="D11" s="29">
        <f>(IF(AND(D2&gt;48,D3=1),4,5)*D2)+(3*D3)</f>
        <v>528</v>
      </c>
      <c r="E11" s="30">
        <f>ROUNDUP(D11/96,0)</f>
        <v>6</v>
      </c>
      <c r="F11" t="e" vm="1">
        <v>#VALUE!</v>
      </c>
    </row>
    <row r="12" spans="1:6" ht="75" customHeight="1">
      <c r="C12" s="28" t="s">
        <v>14</v>
      </c>
      <c r="D12" s="29">
        <f>(0*D2)+8+1+1+(5*D3)</f>
        <v>90</v>
      </c>
      <c r="E12" s="30">
        <f t="shared" ref="E12:E13" si="0">ROUNDUP(D12/96,0)</f>
        <v>1</v>
      </c>
      <c r="F12" t="e" vm="2">
        <v>#VALUE!</v>
      </c>
    </row>
    <row r="13" spans="1:6" ht="75" customHeight="1">
      <c r="C13" s="28" t="s">
        <v>15</v>
      </c>
      <c r="D13" s="29">
        <f>(0*D2)+1+1+(2*8)+(8*D3)</f>
        <v>146</v>
      </c>
      <c r="E13" s="30">
        <f t="shared" si="0"/>
        <v>2</v>
      </c>
      <c r="F13" t="e" vm="3">
        <v>#VALUE!</v>
      </c>
    </row>
    <row r="14" spans="1:6">
      <c r="C14" s="2"/>
      <c r="E14" s="1"/>
    </row>
    <row r="15" spans="1:6" ht="75" customHeight="1">
      <c r="C15" s="28" t="s">
        <v>16</v>
      </c>
      <c r="D15" s="29">
        <f>(1*D2)</f>
        <v>96</v>
      </c>
      <c r="E15" s="30">
        <f>ROUNDUP(D15/96,0)</f>
        <v>1</v>
      </c>
      <c r="F15" t="e" vm="4">
        <v>#VALUE!</v>
      </c>
    </row>
    <row r="16" spans="1:6" ht="75" customHeight="1">
      <c r="C16" s="28" t="s">
        <v>17</v>
      </c>
      <c r="D16" s="29">
        <v>0</v>
      </c>
      <c r="E16" s="30">
        <f>ROUNDUP(D16/96,0)</f>
        <v>0</v>
      </c>
      <c r="F16" t="e" vm="5">
        <v>#VALUE!</v>
      </c>
    </row>
    <row r="17" spans="1:10">
      <c r="C17" s="2"/>
      <c r="E17" s="1"/>
    </row>
    <row r="18" spans="1:10" ht="75" customHeight="1">
      <c r="C18" s="28" t="s">
        <v>18</v>
      </c>
      <c r="D18" s="30">
        <f>IF(E64 &lt; 25000, 0, 1)</f>
        <v>0</v>
      </c>
      <c r="E18" s="29"/>
      <c r="F18" t="e" vm="6">
        <v>#VALUE!</v>
      </c>
    </row>
    <row r="19" spans="1:10" ht="75" customHeight="1">
      <c r="C19" s="28" t="s">
        <v>19</v>
      </c>
      <c r="D19" s="30">
        <f>1+IF(E54&gt;2000, 1, 0)+IF(E70&gt;2000,1,0)</f>
        <v>3</v>
      </c>
      <c r="E19" s="29"/>
      <c r="F19" t="e" vm="7">
        <v>#VALUE!</v>
      </c>
    </row>
    <row r="20" spans="1:10">
      <c r="C20" s="2"/>
      <c r="D20" s="1"/>
    </row>
    <row r="21" spans="1:10" ht="75" customHeight="1">
      <c r="C21" s="42" t="s">
        <v>20</v>
      </c>
      <c r="D21" s="30">
        <f>4+IF(D5="PCR",1,0)</f>
        <v>4</v>
      </c>
      <c r="E21" s="29"/>
      <c r="F21" t="e" vm="8">
        <v>#VALUE!</v>
      </c>
    </row>
    <row r="22" spans="1:10" ht="75" customHeight="1">
      <c r="C22" s="28" t="s">
        <v>21</v>
      </c>
      <c r="D22" s="30">
        <v>1</v>
      </c>
      <c r="E22" s="29"/>
      <c r="F22" t="e" vm="9">
        <v>#VALUE!</v>
      </c>
    </row>
    <row r="23" spans="1:10" ht="75" customHeight="1">
      <c r="C23" s="28" t="s">
        <v>22</v>
      </c>
      <c r="D23" s="30">
        <v>1</v>
      </c>
      <c r="E23" s="29"/>
      <c r="F23" t="e" vm="10">
        <v>#VALUE!</v>
      </c>
    </row>
    <row r="24" spans="1:10">
      <c r="C24" s="28"/>
      <c r="D24" s="30"/>
      <c r="E24" s="29"/>
    </row>
    <row r="25" spans="1:10" ht="75" customHeight="1">
      <c r="C25" s="28" t="s">
        <v>23</v>
      </c>
      <c r="D25" s="30">
        <f>4+IF(AND(D2&gt;48,D3=1),1,0)+1+1+IF($E$54&gt;2000,0,1)</f>
        <v>6</v>
      </c>
      <c r="E25" s="29"/>
      <c r="F25" s="2" t="e" vm="11">
        <v>#VALUE!</v>
      </c>
    </row>
    <row r="27" spans="1:10" ht="75" customHeight="1">
      <c r="C27" s="28" t="s">
        <v>24</v>
      </c>
      <c r="D27" s="30">
        <v>1</v>
      </c>
      <c r="E27" s="29"/>
      <c r="F27" s="37" t="e" vm="12">
        <v>#VALUE!</v>
      </c>
    </row>
    <row r="28" spans="1:10" ht="15" thickBot="1">
      <c r="A28" s="1" t="s">
        <v>25</v>
      </c>
    </row>
    <row r="29" spans="1:10">
      <c r="A29" t="s">
        <v>26</v>
      </c>
      <c r="C29" s="3" t="s">
        <v>27</v>
      </c>
      <c r="D29" s="4"/>
      <c r="E29" s="4"/>
      <c r="F29" s="4"/>
      <c r="G29" s="5"/>
      <c r="J29" t="s">
        <v>28</v>
      </c>
    </row>
    <row r="30" spans="1:10" ht="42.95">
      <c r="C30" s="6"/>
      <c r="D30" s="15" t="s">
        <v>29</v>
      </c>
      <c r="E30" s="7" t="s">
        <v>30</v>
      </c>
      <c r="G30" s="8" t="s">
        <v>31</v>
      </c>
    </row>
    <row r="31" spans="1:10">
      <c r="C31" s="9" t="s">
        <v>32</v>
      </c>
      <c r="G31" s="10">
        <f>IF(D2&lt;=24,1.3,IF(D2&lt;=48,1.25,1.2))</f>
        <v>1.2</v>
      </c>
    </row>
    <row r="32" spans="1:10">
      <c r="C32" s="6" t="s">
        <v>33</v>
      </c>
      <c r="D32">
        <v>0.875</v>
      </c>
      <c r="E32" s="1">
        <f>D32*$G$31*$D$2</f>
        <v>100.80000000000001</v>
      </c>
      <c r="G32" s="10"/>
    </row>
    <row r="33" spans="3:7">
      <c r="C33" s="6" t="s">
        <v>34</v>
      </c>
      <c r="D33">
        <v>0.875</v>
      </c>
      <c r="E33" s="1">
        <f>D33*$G$31*$D$2</f>
        <v>100.80000000000001</v>
      </c>
      <c r="G33" s="10"/>
    </row>
    <row r="34" spans="3:7">
      <c r="C34" s="6" t="s">
        <v>35</v>
      </c>
      <c r="D34">
        <v>0.75</v>
      </c>
      <c r="E34" s="1">
        <f>D34*$G$31*$D$2</f>
        <v>86.399999999999991</v>
      </c>
      <c r="G34" s="10"/>
    </row>
    <row r="35" spans="3:7">
      <c r="C35" s="18" t="s">
        <v>36</v>
      </c>
      <c r="D35" s="19">
        <v>0.5</v>
      </c>
      <c r="E35" s="20">
        <f>D35*$G$31*$D$2</f>
        <v>57.599999999999994</v>
      </c>
      <c r="G35" s="10"/>
    </row>
    <row r="36" spans="3:7">
      <c r="C36" s="16" t="s">
        <v>37</v>
      </c>
      <c r="D36" s="17">
        <f>SUM(D32:D35)</f>
        <v>3</v>
      </c>
      <c r="E36" s="17">
        <f>SUM(E32:E35)</f>
        <v>345.6</v>
      </c>
      <c r="G36" s="10"/>
    </row>
    <row r="37" spans="3:7">
      <c r="C37" s="6"/>
      <c r="G37" s="10"/>
    </row>
    <row r="38" spans="3:7">
      <c r="C38" s="9" t="s">
        <v>38</v>
      </c>
      <c r="G38" s="10"/>
    </row>
    <row r="39" spans="3:7">
      <c r="C39" s="6" t="s">
        <v>39</v>
      </c>
      <c r="D39">
        <v>5</v>
      </c>
      <c r="E39" s="1">
        <f>D39*$G$39*$D$2</f>
        <v>528</v>
      </c>
      <c r="G39" s="10">
        <f>IF(D2&lt;=24,1.2,IF(D2&lt;=48,1.1,1.1))</f>
        <v>1.1000000000000001</v>
      </c>
    </row>
    <row r="40" spans="3:7">
      <c r="C40" s="6"/>
      <c r="G40" s="10"/>
    </row>
    <row r="41" spans="3:7">
      <c r="C41" s="9" t="s">
        <v>40</v>
      </c>
      <c r="G41" s="10"/>
    </row>
    <row r="42" spans="3:7">
      <c r="C42" s="6" t="s">
        <v>41</v>
      </c>
      <c r="D42">
        <v>2</v>
      </c>
      <c r="E42" s="1">
        <f>D42*$G$42*$D$2+G43</f>
        <v>231.20000000000002</v>
      </c>
      <c r="G42" s="10">
        <f>IF(D2&lt;=24,1.3,IF(D2&lt;=48,1.2,1.1))</f>
        <v>1.1000000000000001</v>
      </c>
    </row>
    <row r="43" spans="3:7">
      <c r="C43" s="6"/>
      <c r="G43" s="10">
        <v>20</v>
      </c>
    </row>
    <row r="44" spans="3:7">
      <c r="C44" s="9" t="s">
        <v>42</v>
      </c>
      <c r="G44" s="11"/>
    </row>
    <row r="45" spans="3:7">
      <c r="C45" s="6" t="s">
        <v>43</v>
      </c>
      <c r="D45">
        <v>10</v>
      </c>
      <c r="E45" s="1">
        <f>D45*$G$45*$D$3*(1+$G$46/$G$47)</f>
        <v>181</v>
      </c>
      <c r="G45" s="10">
        <f>IF(D3&lt;=8,1.3,IF(D3&lt;=12,1.2,1.1))</f>
        <v>1.1000000000000001</v>
      </c>
    </row>
    <row r="46" spans="3:7">
      <c r="C46" s="6" t="s">
        <v>44</v>
      </c>
      <c r="D46">
        <v>5</v>
      </c>
      <c r="E46" s="1">
        <f t="shared" ref="E46:E47" si="1">D46*$G$45*$D$3*(1+$G$46/$G$47)</f>
        <v>90.5</v>
      </c>
      <c r="G46" s="10">
        <v>10</v>
      </c>
    </row>
    <row r="47" spans="3:7">
      <c r="C47" s="18" t="s">
        <v>45</v>
      </c>
      <c r="D47" s="19">
        <v>5</v>
      </c>
      <c r="E47" s="20">
        <f t="shared" si="1"/>
        <v>90.5</v>
      </c>
      <c r="G47" s="43">
        <f>D45*$G$45*$D$3 + D46*$G$45*$D$3 + D47*$G$45*$D$3</f>
        <v>352</v>
      </c>
    </row>
    <row r="48" spans="3:7">
      <c r="C48" s="16" t="s">
        <v>37</v>
      </c>
      <c r="D48" s="17">
        <f>SUM(D45:D47)</f>
        <v>20</v>
      </c>
      <c r="E48" s="17">
        <f>SUM(E45:E47)</f>
        <v>362</v>
      </c>
      <c r="G48" s="11"/>
    </row>
    <row r="49" spans="1:12">
      <c r="C49" s="31"/>
      <c r="D49" s="32"/>
      <c r="E49" s="32"/>
      <c r="F49" s="32"/>
      <c r="G49" s="33"/>
    </row>
    <row r="50" spans="1:12">
      <c r="A50" t="s">
        <v>46</v>
      </c>
      <c r="C50" s="9" t="s">
        <v>47</v>
      </c>
      <c r="G50" s="11"/>
    </row>
    <row r="51" spans="1:12">
      <c r="C51" s="6" t="s">
        <v>48</v>
      </c>
      <c r="D51">
        <f>D2/D3*D6*0.4+20</f>
        <v>44</v>
      </c>
      <c r="E51" s="1">
        <f>((D2/D3*D6)*0.4*1.2)*D3 +(20*1.2*D3)+200</f>
        <v>1044.8</v>
      </c>
      <c r="G51" s="11"/>
    </row>
    <row r="52" spans="1:12">
      <c r="C52" s="6"/>
      <c r="G52" s="11"/>
    </row>
    <row r="53" spans="1:12">
      <c r="C53" s="9" t="s">
        <v>49</v>
      </c>
      <c r="G53" s="11"/>
    </row>
    <row r="54" spans="1:12">
      <c r="C54" s="6" t="s">
        <v>50</v>
      </c>
      <c r="D54">
        <v>125</v>
      </c>
      <c r="E54" s="1">
        <f>(D54*D3*2*1.2)+300</f>
        <v>5100</v>
      </c>
      <c r="F54" s="17" t="str">
        <f>IF(E54&gt;2000, "Please use trough", "")</f>
        <v>Please use trough</v>
      </c>
      <c r="G54" s="11"/>
    </row>
    <row r="55" spans="1:12">
      <c r="C55" s="6"/>
      <c r="E55" s="1"/>
      <c r="G55" s="11"/>
    </row>
    <row r="56" spans="1:12">
      <c r="C56" s="9" t="s">
        <v>51</v>
      </c>
      <c r="E56" s="1"/>
      <c r="G56" s="11"/>
    </row>
    <row r="57" spans="1:12" ht="15" thickBot="1">
      <c r="C57" s="23" t="s">
        <v>51</v>
      </c>
      <c r="D57" s="13">
        <f>IF(D7="PromethION", 30, 18)</f>
        <v>18</v>
      </c>
      <c r="E57" s="12">
        <f>D57*D3+200</f>
        <v>488</v>
      </c>
      <c r="F57" s="13"/>
      <c r="G57" s="14"/>
    </row>
    <row r="60" spans="1:12" ht="15" thickBot="1"/>
    <row r="61" spans="1:12">
      <c r="A61" t="s">
        <v>52</v>
      </c>
      <c r="C61" s="24" t="s">
        <v>53</v>
      </c>
      <c r="D61" s="4"/>
      <c r="E61" s="4"/>
      <c r="F61" s="5"/>
    </row>
    <row r="62" spans="1:12" ht="29.1">
      <c r="C62" s="6"/>
      <c r="D62" s="15" t="s">
        <v>29</v>
      </c>
      <c r="E62" s="7" t="s">
        <v>30</v>
      </c>
      <c r="F62" s="11"/>
    </row>
    <row r="63" spans="1:12">
      <c r="C63" s="22" t="s">
        <v>54</v>
      </c>
      <c r="F63" s="11"/>
      <c r="L63" s="1"/>
    </row>
    <row r="64" spans="1:12">
      <c r="C64" s="6" t="s">
        <v>55</v>
      </c>
      <c r="D64">
        <f>D2/D3*D6*1.4*2</f>
        <v>168</v>
      </c>
      <c r="E64" s="1">
        <f>IF(D2/D3*D6*1.4*2&gt;500,500,D2/D3*D6*1.4*2)*2*D3+7000</f>
        <v>12376</v>
      </c>
      <c r="F64" s="25" t="str">
        <f>IF(E64&gt;25000, "100ml trough", "25ml trough")</f>
        <v>25ml trough</v>
      </c>
    </row>
    <row r="65" spans="1:6">
      <c r="C65" s="6"/>
      <c r="F65" s="11"/>
    </row>
    <row r="66" spans="1:6">
      <c r="C66" s="22" t="s">
        <v>56</v>
      </c>
      <c r="F66" s="11"/>
    </row>
    <row r="67" spans="1:6">
      <c r="C67" s="6" t="s">
        <v>57</v>
      </c>
      <c r="D67">
        <v>35</v>
      </c>
      <c r="E67" s="1">
        <f>D67*D3+(D2*(4*(D36+12)+10))+3000</f>
        <v>10280</v>
      </c>
      <c r="F67" s="25" t="str">
        <f>IF(E67&gt;25000, "100ml trough", "25ml trough")</f>
        <v>25ml trough</v>
      </c>
    </row>
    <row r="68" spans="1:6">
      <c r="C68" s="6"/>
      <c r="F68" s="11"/>
    </row>
    <row r="69" spans="1:6">
      <c r="C69" s="22" t="s">
        <v>49</v>
      </c>
      <c r="F69" s="11"/>
    </row>
    <row r="70" spans="1:6" ht="15" thickBot="1">
      <c r="C70" s="23" t="s">
        <v>50</v>
      </c>
      <c r="D70" s="13">
        <v>125</v>
      </c>
      <c r="E70" s="12">
        <f>IF(E54&gt;2000,(D70*D3*2)+7000, "N/A")</f>
        <v>11000</v>
      </c>
      <c r="F70" s="26" t="s">
        <v>19</v>
      </c>
    </row>
    <row r="72" spans="1:6" ht="15" thickBot="1">
      <c r="A72" t="s">
        <v>58</v>
      </c>
    </row>
    <row r="73" spans="1:6" ht="73.5" customHeight="1" thickBot="1">
      <c r="C73" s="40" t="s">
        <v>59</v>
      </c>
      <c r="D73" s="41">
        <v>1</v>
      </c>
      <c r="E73" s="38"/>
      <c r="F73" s="39" t="e" vm="13">
        <v>#VALUE!</v>
      </c>
    </row>
  </sheetData>
  <conditionalFormatting sqref="C53:E54">
    <cfRule type="expression" dxfId="1" priority="5">
      <formula>$E$54&gt;2000</formula>
    </cfRule>
  </conditionalFormatting>
  <conditionalFormatting sqref="C69:E70">
    <cfRule type="expression" dxfId="0" priority="3">
      <formula>$E$54&lt;2000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7A33C91-A9EA-41F9-B1B8-797435F75562}">
          <x14:formula1>
            <xm:f>Lists!$B$3:$B$4</xm:f>
          </x14:formula1>
          <xm:sqref>D5</xm:sqref>
        </x14:dataValidation>
        <x14:dataValidation type="list" allowBlank="1" showInputMessage="1" showErrorMessage="1" xr:uid="{F69D9B6A-4856-426F-AF60-AD7A5EAF98D1}">
          <x14:formula1>
            <xm:f>Lists!$C$3:$C$4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48A82-D819-4381-A7B1-97A70C6C1914}">
  <dimension ref="B2:C4"/>
  <sheetViews>
    <sheetView workbookViewId="0">
      <selection activeCell="C2" sqref="C2"/>
    </sheetView>
  </sheetViews>
  <sheetFormatPr defaultRowHeight="14.45"/>
  <sheetData>
    <row r="2" spans="2:3">
      <c r="B2" s="1" t="s">
        <v>60</v>
      </c>
      <c r="C2" s="1" t="s">
        <v>7</v>
      </c>
    </row>
    <row r="3" spans="2:3">
      <c r="B3" t="s">
        <v>61</v>
      </c>
      <c r="C3" t="s">
        <v>8</v>
      </c>
    </row>
    <row r="4" spans="2:3">
      <c r="B4" t="s">
        <v>5</v>
      </c>
      <c r="C4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Oxford Nanopore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Kaspar</dc:creator>
  <cp:keywords/>
  <dc:description/>
  <cp:lastModifiedBy/>
  <cp:revision/>
  <dcterms:created xsi:type="dcterms:W3CDTF">2024-12-02T15:38:50Z</dcterms:created>
  <dcterms:modified xsi:type="dcterms:W3CDTF">2025-03-05T14:09:23Z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717c05-a4e8-4141-816b-1a870cd1c131_Enabled">
    <vt:lpwstr>true</vt:lpwstr>
  </property>
  <property fmtid="{D5CDD505-2E9C-101B-9397-08002B2CF9AE}" pid="3" name="MSIP_Label_30717c05-a4e8-4141-816b-1a870cd1c131_SetDate">
    <vt:lpwstr>2024-12-02T15:53:22Z</vt:lpwstr>
  </property>
  <property fmtid="{D5CDD505-2E9C-101B-9397-08002B2CF9AE}" pid="4" name="MSIP_Label_30717c05-a4e8-4141-816b-1a870cd1c131_Method">
    <vt:lpwstr>Standard</vt:lpwstr>
  </property>
  <property fmtid="{D5CDD505-2E9C-101B-9397-08002B2CF9AE}" pid="5" name="MSIP_Label_30717c05-a4e8-4141-816b-1a870cd1c131_Name">
    <vt:lpwstr>Confidential - internal</vt:lpwstr>
  </property>
  <property fmtid="{D5CDD505-2E9C-101B-9397-08002B2CF9AE}" pid="6" name="MSIP_Label_30717c05-a4e8-4141-816b-1a870cd1c131_SiteId">
    <vt:lpwstr>1e282362-9e15-429f-a97e-cec804d773bf</vt:lpwstr>
  </property>
  <property fmtid="{D5CDD505-2E9C-101B-9397-08002B2CF9AE}" pid="7" name="MSIP_Label_30717c05-a4e8-4141-816b-1a870cd1c131_ActionId">
    <vt:lpwstr>0c11116e-2e03-426d-bae8-c8b6b40869da</vt:lpwstr>
  </property>
  <property fmtid="{D5CDD505-2E9C-101B-9397-08002B2CF9AE}" pid="8" name="MSIP_Label_30717c05-a4e8-4141-816b-1a870cd1c131_ContentBits">
    <vt:lpwstr>0</vt:lpwstr>
  </property>
</Properties>
</file>